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475" windowHeight="4170" activeTab="1"/>
  </bookViews>
  <sheets>
    <sheet name="无缝钢管" sheetId="1" r:id="rId1"/>
    <sheet name="镀锌钢管" sheetId="2" r:id="rId2"/>
  </sheets>
  <definedNames/>
  <calcPr fullCalcOnLoad="1"/>
</workbook>
</file>

<file path=xl/sharedStrings.xml><?xml version="1.0" encoding="utf-8"?>
<sst xmlns="http://schemas.openxmlformats.org/spreadsheetml/2006/main" count="92" uniqueCount="59">
  <si>
    <t>DN20</t>
  </si>
  <si>
    <t>DN25</t>
  </si>
  <si>
    <t>DN32</t>
  </si>
  <si>
    <t>DN40</t>
  </si>
  <si>
    <t>DN50</t>
  </si>
  <si>
    <t>DN70</t>
  </si>
  <si>
    <t>DN80</t>
  </si>
  <si>
    <t>DN100</t>
  </si>
  <si>
    <t>DN125</t>
  </si>
  <si>
    <t>DN150</t>
  </si>
  <si>
    <t>DN219</t>
  </si>
  <si>
    <t>DN273</t>
  </si>
  <si>
    <t>DN325</t>
  </si>
  <si>
    <t>保温层厚度</t>
  </si>
  <si>
    <t>保温层体积</t>
  </si>
  <si>
    <t>合计</t>
  </si>
  <si>
    <t>型号</t>
  </si>
  <si>
    <t>15mm</t>
  </si>
  <si>
    <t>20mm</t>
  </si>
  <si>
    <t>25mm</t>
  </si>
  <si>
    <t>30mm</t>
  </si>
  <si>
    <t>40mm</t>
  </si>
  <si>
    <t>DN377</t>
  </si>
  <si>
    <t>长度m</t>
  </si>
  <si>
    <t>保温层表面积</t>
  </si>
  <si>
    <r>
      <t>钢管刷漆</t>
    </r>
    <r>
      <rPr>
        <b/>
        <sz val="12"/>
        <rFont val="Times New Roman"/>
        <family val="1"/>
      </rPr>
      <t>m2</t>
    </r>
  </si>
  <si>
    <r>
      <t>57</t>
    </r>
    <r>
      <rPr>
        <b/>
        <sz val="12"/>
        <rFont val="宋体"/>
        <family val="0"/>
      </rPr>
      <t>以外</t>
    </r>
  </si>
  <si>
    <r>
      <t>57</t>
    </r>
    <r>
      <rPr>
        <b/>
        <sz val="12"/>
        <rFont val="宋体"/>
        <family val="0"/>
      </rPr>
      <t>以内</t>
    </r>
  </si>
  <si>
    <r>
      <t>管道支架</t>
    </r>
    <r>
      <rPr>
        <b/>
        <sz val="12"/>
        <rFont val="Times New Roman"/>
        <family val="1"/>
      </rPr>
      <t>kg</t>
    </r>
  </si>
  <si>
    <t>水冲洗</t>
  </si>
  <si>
    <r>
      <t>50</t>
    </r>
    <r>
      <rPr>
        <b/>
        <sz val="12"/>
        <rFont val="宋体"/>
        <family val="0"/>
      </rPr>
      <t>以内</t>
    </r>
  </si>
  <si>
    <r>
      <t>100</t>
    </r>
    <r>
      <rPr>
        <b/>
        <sz val="12"/>
        <rFont val="宋体"/>
        <family val="0"/>
      </rPr>
      <t>以内</t>
    </r>
  </si>
  <si>
    <r>
      <t>200</t>
    </r>
    <r>
      <rPr>
        <b/>
        <sz val="12"/>
        <rFont val="宋体"/>
        <family val="0"/>
      </rPr>
      <t>以内</t>
    </r>
  </si>
  <si>
    <r>
      <t>300</t>
    </r>
    <r>
      <rPr>
        <b/>
        <sz val="12"/>
        <rFont val="宋体"/>
        <family val="0"/>
      </rPr>
      <t>以内</t>
    </r>
  </si>
  <si>
    <r>
      <t>400</t>
    </r>
    <r>
      <rPr>
        <b/>
        <sz val="12"/>
        <rFont val="宋体"/>
        <family val="0"/>
      </rPr>
      <t>以内</t>
    </r>
  </si>
  <si>
    <r>
      <t>重量</t>
    </r>
    <r>
      <rPr>
        <b/>
        <sz val="12"/>
        <rFont val="Times New Roman"/>
        <family val="1"/>
      </rPr>
      <t>kg</t>
    </r>
  </si>
  <si>
    <t>50mm</t>
  </si>
  <si>
    <t>外径</t>
  </si>
  <si>
    <r>
      <t>钢管刷漆</t>
    </r>
    <r>
      <rPr>
        <b/>
        <sz val="12"/>
        <rFont val="Times New Roman"/>
        <family val="1"/>
      </rPr>
      <t>m2</t>
    </r>
  </si>
  <si>
    <r>
      <t>管道支架</t>
    </r>
    <r>
      <rPr>
        <b/>
        <sz val="12"/>
        <rFont val="Times New Roman"/>
        <family val="1"/>
      </rPr>
      <t>kg</t>
    </r>
  </si>
  <si>
    <r>
      <t>重量</t>
    </r>
    <r>
      <rPr>
        <b/>
        <sz val="12"/>
        <rFont val="Times New Roman"/>
        <family val="1"/>
      </rPr>
      <t>kg</t>
    </r>
  </si>
  <si>
    <r>
      <t>20</t>
    </r>
    <r>
      <rPr>
        <b/>
        <sz val="12"/>
        <rFont val="宋体"/>
        <family val="0"/>
      </rPr>
      <t>mm</t>
    </r>
  </si>
  <si>
    <r>
      <t>45</t>
    </r>
    <r>
      <rPr>
        <b/>
        <sz val="12"/>
        <rFont val="宋体"/>
        <family val="0"/>
      </rPr>
      <t>mm</t>
    </r>
  </si>
  <si>
    <r>
      <t>50</t>
    </r>
    <r>
      <rPr>
        <b/>
        <sz val="12"/>
        <rFont val="宋体"/>
        <family val="0"/>
      </rPr>
      <t>mm</t>
    </r>
  </si>
  <si>
    <t>55mm</t>
  </si>
  <si>
    <t>60mm</t>
  </si>
  <si>
    <t>70mm</t>
  </si>
  <si>
    <t>80mm</t>
  </si>
  <si>
    <t>90mm</t>
  </si>
  <si>
    <r>
      <t>3</t>
    </r>
    <r>
      <rPr>
        <b/>
        <sz val="12"/>
        <rFont val="宋体"/>
        <family val="0"/>
      </rPr>
      <t>0mm</t>
    </r>
  </si>
  <si>
    <r>
      <t>40</t>
    </r>
    <r>
      <rPr>
        <b/>
        <sz val="12"/>
        <rFont val="宋体"/>
        <family val="0"/>
      </rPr>
      <t>mm</t>
    </r>
  </si>
  <si>
    <t>45mm</t>
  </si>
  <si>
    <t>50mm</t>
  </si>
  <si>
    <r>
      <t>60</t>
    </r>
    <r>
      <rPr>
        <b/>
        <sz val="12"/>
        <rFont val="宋体"/>
        <family val="0"/>
      </rPr>
      <t>mm</t>
    </r>
  </si>
  <si>
    <r>
      <t>70</t>
    </r>
    <r>
      <rPr>
        <b/>
        <sz val="12"/>
        <rFont val="宋体"/>
        <family val="0"/>
      </rPr>
      <t>mm</t>
    </r>
  </si>
  <si>
    <t>无</t>
  </si>
  <si>
    <t>水冲洗</t>
  </si>
  <si>
    <r>
      <t>100</t>
    </r>
    <r>
      <rPr>
        <b/>
        <sz val="12"/>
        <rFont val="宋体"/>
        <family val="0"/>
      </rPr>
      <t>以内</t>
    </r>
  </si>
  <si>
    <r>
      <t>200</t>
    </r>
    <r>
      <rPr>
        <b/>
        <sz val="12"/>
        <rFont val="宋体"/>
        <family val="0"/>
      </rPr>
      <t>以内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</si>
</sst>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workbookViewId="0" topLeftCell="A1">
      <selection activeCell="B7" sqref="B7"/>
    </sheetView>
  </sheetViews>
  <sheetFormatPr defaultColWidth="9.00390625" defaultRowHeight="14.25"/>
  <sheetData>
    <row r="1" spans="1:25" ht="14.25">
      <c r="A1" s="23" t="s">
        <v>37</v>
      </c>
      <c r="B1" s="23" t="s">
        <v>23</v>
      </c>
      <c r="C1" s="17" t="s">
        <v>24</v>
      </c>
      <c r="D1" s="27"/>
      <c r="E1" s="27"/>
      <c r="F1" s="27"/>
      <c r="G1" s="27"/>
      <c r="H1" s="27"/>
      <c r="I1" s="27"/>
      <c r="J1" s="27"/>
      <c r="K1" s="27"/>
      <c r="L1" s="28"/>
      <c r="M1" s="33" t="s">
        <v>14</v>
      </c>
      <c r="N1" s="15"/>
      <c r="O1" s="15"/>
      <c r="P1" s="15"/>
      <c r="Q1" s="15"/>
      <c r="R1" s="15"/>
      <c r="S1" s="15"/>
      <c r="T1" s="15"/>
      <c r="U1" s="15"/>
      <c r="V1" s="34"/>
      <c r="W1" s="20" t="s">
        <v>38</v>
      </c>
      <c r="X1" s="20" t="s">
        <v>39</v>
      </c>
      <c r="Y1" s="30" t="s">
        <v>40</v>
      </c>
    </row>
    <row r="2" spans="1:25" ht="14.25">
      <c r="A2" s="24"/>
      <c r="B2" s="24"/>
      <c r="C2" s="17" t="s">
        <v>13</v>
      </c>
      <c r="D2" s="27"/>
      <c r="E2" s="27"/>
      <c r="F2" s="27"/>
      <c r="G2" s="27"/>
      <c r="H2" s="27"/>
      <c r="I2" s="27"/>
      <c r="J2" s="27"/>
      <c r="K2" s="27"/>
      <c r="L2" s="28"/>
      <c r="M2" s="31" t="s">
        <v>13</v>
      </c>
      <c r="N2" s="16"/>
      <c r="O2" s="16"/>
      <c r="P2" s="16"/>
      <c r="Q2" s="16"/>
      <c r="R2" s="16"/>
      <c r="S2" s="16"/>
      <c r="T2" s="16"/>
      <c r="U2" s="16"/>
      <c r="V2" s="32"/>
      <c r="W2" s="21"/>
      <c r="X2" s="21"/>
      <c r="Y2" s="30"/>
    </row>
    <row r="3" spans="1:25" ht="15.75">
      <c r="A3" s="25"/>
      <c r="B3" s="25"/>
      <c r="C3" s="5" t="s">
        <v>41</v>
      </c>
      <c r="D3" s="3" t="s">
        <v>20</v>
      </c>
      <c r="E3" s="5" t="s">
        <v>21</v>
      </c>
      <c r="F3" s="5" t="s">
        <v>42</v>
      </c>
      <c r="G3" s="5" t="s">
        <v>43</v>
      </c>
      <c r="H3" s="5" t="s">
        <v>44</v>
      </c>
      <c r="I3" s="5" t="s">
        <v>45</v>
      </c>
      <c r="J3" s="5" t="s">
        <v>46</v>
      </c>
      <c r="K3" s="5" t="s">
        <v>47</v>
      </c>
      <c r="L3" s="5" t="s">
        <v>48</v>
      </c>
      <c r="M3" s="5" t="s">
        <v>41</v>
      </c>
      <c r="N3" s="5" t="s">
        <v>49</v>
      </c>
      <c r="O3" s="5" t="s">
        <v>50</v>
      </c>
      <c r="P3" s="5" t="s">
        <v>51</v>
      </c>
      <c r="Q3" s="5" t="s">
        <v>52</v>
      </c>
      <c r="R3" s="5" t="s">
        <v>44</v>
      </c>
      <c r="S3" s="5" t="s">
        <v>53</v>
      </c>
      <c r="T3" s="5" t="s">
        <v>54</v>
      </c>
      <c r="U3" s="14" t="s">
        <v>47</v>
      </c>
      <c r="V3" s="14" t="s">
        <v>48</v>
      </c>
      <c r="W3" s="22"/>
      <c r="X3" s="22"/>
      <c r="Y3" s="30"/>
    </row>
    <row r="4" spans="1:25" ht="15.75">
      <c r="A4" s="5">
        <v>20</v>
      </c>
      <c r="B4" s="3">
        <v>0</v>
      </c>
      <c r="C4" s="1">
        <f>B4*0.2243</f>
        <v>0</v>
      </c>
      <c r="D4" s="1">
        <f>B4*0.2903</f>
        <v>0</v>
      </c>
      <c r="E4" s="1">
        <f>B4*0.3563</f>
        <v>0</v>
      </c>
      <c r="F4" s="1">
        <f>B4*0.3892</f>
        <v>0</v>
      </c>
      <c r="G4" s="1">
        <f>B4*0.4222</f>
        <v>0</v>
      </c>
      <c r="H4" s="1">
        <f>B4*0.4552</f>
        <v>0</v>
      </c>
      <c r="I4" s="1">
        <f>B4*0.4882</f>
        <v>0</v>
      </c>
      <c r="J4" s="1">
        <f>B4*0.5542</f>
        <v>0</v>
      </c>
      <c r="K4" s="1" t="s">
        <v>55</v>
      </c>
      <c r="L4" s="1" t="s">
        <v>55</v>
      </c>
      <c r="M4" s="1">
        <f>B4*0.0027</f>
        <v>0</v>
      </c>
      <c r="N4" s="1">
        <f>B4*0.0051</f>
        <v>0</v>
      </c>
      <c r="O4" s="1">
        <f>B4*0.0082</f>
        <v>0</v>
      </c>
      <c r="P4" s="1">
        <f>B4*0.0099</f>
        <v>0</v>
      </c>
      <c r="Q4" s="1">
        <f>B4*0.0113</f>
        <v>0</v>
      </c>
      <c r="R4" s="1">
        <f>B4*0.0139</f>
        <v>0</v>
      </c>
      <c r="S4" s="1">
        <f>B4*0.0162</f>
        <v>0</v>
      </c>
      <c r="T4" s="1">
        <f>B4*0.0213</f>
        <v>0</v>
      </c>
      <c r="U4" s="1" t="s">
        <v>55</v>
      </c>
      <c r="V4" s="1" t="s">
        <v>55</v>
      </c>
      <c r="W4" s="1">
        <f>B4*0.0666</f>
        <v>0</v>
      </c>
      <c r="X4" s="1">
        <f>B4/3/2*2.5</f>
        <v>0</v>
      </c>
      <c r="Y4" s="1">
        <f>B4*1.63</f>
        <v>0</v>
      </c>
    </row>
    <row r="5" spans="1:25" ht="15.75">
      <c r="A5" s="5">
        <v>25</v>
      </c>
      <c r="B5" s="3">
        <v>0</v>
      </c>
      <c r="C5" s="1">
        <f>B5*0.2362</f>
        <v>0</v>
      </c>
      <c r="D5" s="1">
        <f>B5*0.3022</f>
        <v>0</v>
      </c>
      <c r="E5" s="1">
        <f>B5*0.3682</f>
        <v>0</v>
      </c>
      <c r="F5" s="1">
        <f>B5*0.4012</f>
        <v>0</v>
      </c>
      <c r="G5" s="1">
        <f>B5*0.4342</f>
        <v>0</v>
      </c>
      <c r="H5" s="1">
        <f>B5*0.4672</f>
        <v>0</v>
      </c>
      <c r="I5" s="1">
        <f>B5*0.5001</f>
        <v>0</v>
      </c>
      <c r="J5" s="1">
        <f>B5*0.5661</f>
        <v>0</v>
      </c>
      <c r="K5" s="1" t="s">
        <v>55</v>
      </c>
      <c r="L5" s="1" t="s">
        <v>55</v>
      </c>
      <c r="M5" s="1">
        <f>B5*0.003</f>
        <v>0</v>
      </c>
      <c r="N5" s="1">
        <f>B5*0.0055</f>
        <v>0</v>
      </c>
      <c r="O5" s="1">
        <f>B5*0.0086</f>
        <v>0</v>
      </c>
      <c r="P5" s="1">
        <f>B5*0.0104</f>
        <v>0</v>
      </c>
      <c r="Q5" s="1">
        <f>B5*0.0124</f>
        <v>0</v>
      </c>
      <c r="R5" s="1">
        <f>B5*0.0146</f>
        <v>0</v>
      </c>
      <c r="S5" s="1">
        <f>B5*0.0169</f>
        <v>0</v>
      </c>
      <c r="T5" s="1">
        <f>B5*0.0221</f>
        <v>0</v>
      </c>
      <c r="U5" s="1" t="s">
        <v>55</v>
      </c>
      <c r="V5" s="1" t="s">
        <v>55</v>
      </c>
      <c r="W5" s="1">
        <f>B5*0.0785</f>
        <v>0</v>
      </c>
      <c r="X5" s="1">
        <f>B5/3/2*2.5</f>
        <v>0</v>
      </c>
      <c r="Y5" s="1">
        <f>B5*2.42</f>
        <v>0</v>
      </c>
    </row>
    <row r="6" spans="1:25" ht="15.75">
      <c r="A6" s="5">
        <v>38</v>
      </c>
      <c r="B6" s="3">
        <v>1210</v>
      </c>
      <c r="C6" s="1">
        <f>B6*0.2771</f>
        <v>335.291</v>
      </c>
      <c r="D6" s="1">
        <f>B6*0.3431</f>
        <v>415.151</v>
      </c>
      <c r="E6" s="1">
        <f>B6*0.409</f>
        <v>494.89</v>
      </c>
      <c r="F6" s="1">
        <f>B6*0.442</f>
        <v>534.82</v>
      </c>
      <c r="G6" s="1">
        <f>B6*0.475</f>
        <v>574.75</v>
      </c>
      <c r="H6" s="1">
        <f>B6*0.508</f>
        <v>614.6800000000001</v>
      </c>
      <c r="I6" s="1">
        <f>B6*0.541</f>
        <v>654.61</v>
      </c>
      <c r="J6" s="1">
        <f>B6*0.607</f>
        <v>734.47</v>
      </c>
      <c r="K6" s="1" t="s">
        <v>55</v>
      </c>
      <c r="L6" s="1" t="s">
        <v>55</v>
      </c>
      <c r="M6" s="1">
        <f>B6*0.0038</f>
        <v>4.598</v>
      </c>
      <c r="N6" s="1">
        <f>B6*0.0067</f>
        <v>8.107000000000001</v>
      </c>
      <c r="O6" s="1">
        <f>B6*0.0103</f>
        <v>12.463000000000001</v>
      </c>
      <c r="P6" s="1">
        <f>B6*0.0123</f>
        <v>14.883000000000001</v>
      </c>
      <c r="Q6" s="1">
        <f>B6*0.0146</f>
        <v>17.666</v>
      </c>
      <c r="R6" s="1">
        <f>B6*0.0169</f>
        <v>20.448999999999998</v>
      </c>
      <c r="S6" s="1">
        <f>B6*0.0194</f>
        <v>23.474</v>
      </c>
      <c r="T6" s="1">
        <f>B6*0.0251</f>
        <v>30.371000000000002</v>
      </c>
      <c r="U6" s="1" t="s">
        <v>55</v>
      </c>
      <c r="V6" s="1" t="s">
        <v>55</v>
      </c>
      <c r="W6" s="1">
        <f>B6*0.1193</f>
        <v>144.353</v>
      </c>
      <c r="X6" s="1">
        <f>B6/3/2*2.5</f>
        <v>504.16666666666663</v>
      </c>
      <c r="Y6" s="1">
        <f>B6*3.13</f>
        <v>3787.2999999999997</v>
      </c>
    </row>
    <row r="7" spans="1:25" ht="15.75">
      <c r="A7" s="5">
        <v>57</v>
      </c>
      <c r="B7" s="3">
        <v>1396</v>
      </c>
      <c r="C7" s="1">
        <f>B7*0.3366</f>
        <v>469.8936</v>
      </c>
      <c r="D7" s="1">
        <f>B7*0.4025</f>
        <v>561.89</v>
      </c>
      <c r="E7" s="1">
        <f>B7*0.4686</f>
        <v>654.1656</v>
      </c>
      <c r="F7" s="1">
        <f>B7*0.5015</f>
        <v>700.0939999999999</v>
      </c>
      <c r="G7" s="1">
        <f>B7*0.5344</f>
        <v>746.0224</v>
      </c>
      <c r="H7" s="1">
        <f>B7*0.5674</f>
        <v>792.0904</v>
      </c>
      <c r="I7" s="1">
        <f>B7*0.6004</f>
        <v>838.1584</v>
      </c>
      <c r="J7" s="1">
        <f>B7*0.6663</f>
        <v>930.1548</v>
      </c>
      <c r="K7" s="1">
        <f>B7*0.7322</f>
        <v>1022.1511999999999</v>
      </c>
      <c r="L7" s="1">
        <f>B7*0.7982</f>
        <v>1114.2872</v>
      </c>
      <c r="M7" s="1">
        <f>B7*0.0051</f>
        <v>7.1196</v>
      </c>
      <c r="N7" s="1">
        <f>B7*0.0086</f>
        <v>12.0056</v>
      </c>
      <c r="O7" s="1">
        <f>B7*0.0127</f>
        <v>17.7292</v>
      </c>
      <c r="P7" s="1">
        <f>B7*0.0151</f>
        <v>21.0796</v>
      </c>
      <c r="Q7" s="1">
        <f>B7*0.0177</f>
        <v>24.7092</v>
      </c>
      <c r="R7" s="1">
        <f>B7*0.0204</f>
        <v>28.4784</v>
      </c>
      <c r="S7" s="1">
        <f>B7*0.0231</f>
        <v>32.2476</v>
      </c>
      <c r="T7" s="1">
        <f>B7*0.0293</f>
        <v>40.9028</v>
      </c>
      <c r="U7" s="1">
        <f>B7*0.0363</f>
        <v>50.6748</v>
      </c>
      <c r="V7" s="1">
        <f>B7*0.0438</f>
        <v>61.1448</v>
      </c>
      <c r="W7" s="1">
        <f>B7*0.179</f>
        <v>249.884</v>
      </c>
      <c r="X7" s="1">
        <f>B7/3/2.5*2.5</f>
        <v>465.3333333333333</v>
      </c>
      <c r="Y7" s="1">
        <f>B7*3.84</f>
        <v>5360.639999999999</v>
      </c>
    </row>
    <row r="8" spans="1:25" ht="15.75">
      <c r="A8" s="5">
        <v>76</v>
      </c>
      <c r="B8" s="3">
        <v>380</v>
      </c>
      <c r="C8" s="1">
        <f>B8*0.3963</f>
        <v>150.594</v>
      </c>
      <c r="D8" s="1">
        <f>B8*0.4622</f>
        <v>175.636</v>
      </c>
      <c r="E8" s="1">
        <f>B8*0.5281</f>
        <v>200.678</v>
      </c>
      <c r="F8" s="1">
        <f>B8*0.5611</f>
        <v>213.21800000000002</v>
      </c>
      <c r="G8" s="1">
        <f>B8*0.5941</f>
        <v>225.75799999999998</v>
      </c>
      <c r="H8" s="1">
        <f>B8*0.6271</f>
        <v>238.298</v>
      </c>
      <c r="I8" s="1">
        <f>B8*0.66</f>
        <v>250.8</v>
      </c>
      <c r="J8" s="1">
        <f>B8*0.726</f>
        <v>275.88</v>
      </c>
      <c r="K8" s="1">
        <f>B8*0.7919</f>
        <v>300.922</v>
      </c>
      <c r="L8" s="1">
        <f>B8*0.8578</f>
        <v>325.964</v>
      </c>
      <c r="M8" s="1">
        <f>B8*0.0063</f>
        <v>2.394</v>
      </c>
      <c r="N8" s="1">
        <f>B8*0.0104</f>
        <v>3.952</v>
      </c>
      <c r="O8" s="1">
        <f>B8*0.0152</f>
        <v>5.776</v>
      </c>
      <c r="P8" s="1">
        <f>B8*0.0179</f>
        <v>6.802</v>
      </c>
      <c r="Q8" s="1">
        <f>B8*0.0207</f>
        <v>7.866</v>
      </c>
      <c r="R8" s="1">
        <f>B8*0.0237</f>
        <v>9.006</v>
      </c>
      <c r="S8" s="1">
        <f>B8*0.0269</f>
        <v>10.222</v>
      </c>
      <c r="T8" s="1">
        <f>B8*0.0337</f>
        <v>12.806000000000001</v>
      </c>
      <c r="U8" s="1">
        <f>B8*0.0412</f>
        <v>15.656</v>
      </c>
      <c r="V8" s="1">
        <f>B8*0.0494</f>
        <v>18.772</v>
      </c>
      <c r="W8" s="1">
        <f>B8*0.2386</f>
        <v>90.668</v>
      </c>
      <c r="X8" s="1">
        <f>B8/3/2.5*2.5</f>
        <v>126.66666666666669</v>
      </c>
      <c r="Y8" s="1">
        <f>B8*4.88</f>
        <v>1854.3999999999999</v>
      </c>
    </row>
    <row r="9" spans="1:25" ht="15.75">
      <c r="A9" s="5">
        <v>89</v>
      </c>
      <c r="B9" s="3">
        <v>907</v>
      </c>
      <c r="C9" s="1">
        <f>B9*0.4317</f>
        <v>391.5519</v>
      </c>
      <c r="D9" s="1">
        <f>B9*0.503</f>
        <v>456.221</v>
      </c>
      <c r="E9" s="1">
        <f>B9*0.569</f>
        <v>516.083</v>
      </c>
      <c r="F9" s="1">
        <f>B9*0.6019</f>
        <v>545.9233</v>
      </c>
      <c r="G9" s="1">
        <f>B9*0.6349</f>
        <v>575.8543</v>
      </c>
      <c r="H9" s="1">
        <f>B9*0.6679</f>
        <v>605.7853</v>
      </c>
      <c r="I9" s="1">
        <f>B9*0.7008</f>
        <v>635.6256</v>
      </c>
      <c r="J9" s="13">
        <f>B9*0.7668</f>
        <v>695.4876</v>
      </c>
      <c r="K9" s="1">
        <f>B9*0.8327</f>
        <v>755.2589</v>
      </c>
      <c r="L9" s="1">
        <f>B9*0.8997</f>
        <v>816.0279</v>
      </c>
      <c r="M9" s="1">
        <f>B9*0.0084</f>
        <v>7.618799999999999</v>
      </c>
      <c r="N9" s="1">
        <f>B9*0.0117</f>
        <v>10.6119</v>
      </c>
      <c r="O9" s="1">
        <f>B9*0.0169</f>
        <v>15.328299999999999</v>
      </c>
      <c r="P9" s="1">
        <f>B9*0.0197</f>
        <v>17.8679</v>
      </c>
      <c r="Q9" s="1">
        <f>B9*0.0228</f>
        <v>20.6796</v>
      </c>
      <c r="R9" s="1">
        <f>B9*0.026</f>
        <v>23.581999999999997</v>
      </c>
      <c r="S9" s="1">
        <f>B9*0.0293</f>
        <v>26.5751</v>
      </c>
      <c r="T9" s="1">
        <f>B9*0.0368</f>
        <v>33.3776</v>
      </c>
      <c r="U9" s="1">
        <f>B9*0.0445</f>
        <v>40.3615</v>
      </c>
      <c r="V9" s="1">
        <f>B9*0.0531</f>
        <v>48.1617</v>
      </c>
      <c r="W9" s="1">
        <f>B9*0.2795</f>
        <v>253.50650000000002</v>
      </c>
      <c r="X9" s="1">
        <f>B9/3/3.5*3</f>
        <v>259.1428571428571</v>
      </c>
      <c r="Y9" s="1">
        <f>B9*6.64</f>
        <v>6022.48</v>
      </c>
    </row>
    <row r="10" spans="1:25" ht="15.75">
      <c r="A10" s="5">
        <v>108</v>
      </c>
      <c r="B10" s="3">
        <v>955</v>
      </c>
      <c r="C10" s="1">
        <f>B10*0.4967</f>
        <v>474.3485</v>
      </c>
      <c r="D10" s="1">
        <f>B10*0.5627</f>
        <v>537.3785</v>
      </c>
      <c r="E10" s="1">
        <f>B10*0.6286</f>
        <v>600.3130000000001</v>
      </c>
      <c r="F10" s="1">
        <f>B10*0.6616</f>
        <v>631.828</v>
      </c>
      <c r="G10" s="1">
        <f>B10*0.6946</f>
        <v>663.343</v>
      </c>
      <c r="H10" s="1">
        <f>B10*0.7275</f>
        <v>694.7625</v>
      </c>
      <c r="I10" s="1">
        <f>B10*0.7605</f>
        <v>726.2774999999999</v>
      </c>
      <c r="J10" s="1">
        <f>B10*0.8264</f>
        <v>789.212</v>
      </c>
      <c r="K10" s="1">
        <f>B10*0.8924</f>
        <v>852.242</v>
      </c>
      <c r="L10" s="1">
        <f>B10*0.9583</f>
        <v>915.1765</v>
      </c>
      <c r="M10" s="1">
        <f>B10*0.0071</f>
        <v>6.7805</v>
      </c>
      <c r="N10" s="1">
        <f>B10*0.0135</f>
        <v>12.8925</v>
      </c>
      <c r="O10" s="1">
        <f>B10*0.0194</f>
        <v>18.527</v>
      </c>
      <c r="P10" s="1">
        <f>B10*0.0225</f>
        <v>21.4875</v>
      </c>
      <c r="Q10" s="1">
        <f>B10*0.0257</f>
        <v>24.5435</v>
      </c>
      <c r="R10" s="1">
        <f>B10*0.0294</f>
        <v>28.076999999999998</v>
      </c>
      <c r="S10" s="1">
        <f>B10*0.0331</f>
        <v>31.6105</v>
      </c>
      <c r="T10" s="1">
        <f>B10*0.0409</f>
        <v>39.0595</v>
      </c>
      <c r="U10" s="1">
        <f>B10*0.0495</f>
        <v>47.2725</v>
      </c>
      <c r="V10" s="1">
        <f>B10*0.0587</f>
        <v>56.0585</v>
      </c>
      <c r="W10" s="1">
        <f>B10*0.3391</f>
        <v>323.8405</v>
      </c>
      <c r="X10" s="1">
        <f>B10/3/3.5*3</f>
        <v>272.85714285714283</v>
      </c>
      <c r="Y10" s="1">
        <f>B10*8.34</f>
        <v>7964.7</v>
      </c>
    </row>
    <row r="11" spans="1:25" ht="15.75">
      <c r="A11" s="5">
        <v>133</v>
      </c>
      <c r="B11" s="3">
        <v>0</v>
      </c>
      <c r="C11" s="1">
        <f>B11*0.5752</f>
        <v>0</v>
      </c>
      <c r="D11" s="1">
        <f>B11*0.6412</f>
        <v>0</v>
      </c>
      <c r="E11" s="1">
        <f>B11*0.7071</f>
        <v>0</v>
      </c>
      <c r="F11" s="1">
        <f>B11*0.7401</f>
        <v>0</v>
      </c>
      <c r="G11" s="1">
        <f>B11*0.7731</f>
        <v>0</v>
      </c>
      <c r="H11" s="1">
        <f>B11*0.806</f>
        <v>0</v>
      </c>
      <c r="I11" s="1">
        <f>B11*0.839</f>
        <v>0</v>
      </c>
      <c r="J11" s="1">
        <f>B11*0.9049</f>
        <v>0</v>
      </c>
      <c r="K11" s="1">
        <f>B11*0.9709</f>
        <v>0</v>
      </c>
      <c r="L11" s="1">
        <f>B11*1.0368</f>
        <v>0</v>
      </c>
      <c r="M11" s="1">
        <f>B11*0.01</f>
        <v>0</v>
      </c>
      <c r="N11" s="1">
        <f>B11*0.0159</f>
        <v>0</v>
      </c>
      <c r="O11" s="1">
        <f>B11*0.0226</f>
        <v>0</v>
      </c>
      <c r="P11" s="1">
        <f>B11*0.0262</f>
        <v>0</v>
      </c>
      <c r="Q11" s="1">
        <f>B11*0.03</f>
        <v>0</v>
      </c>
      <c r="R11" s="1">
        <f>B11*0.0339</f>
        <v>0</v>
      </c>
      <c r="S11" s="1">
        <f>B11*0.0379</f>
        <v>0</v>
      </c>
      <c r="T11" s="1">
        <f>B11*0.0466</f>
        <v>0</v>
      </c>
      <c r="U11" s="1">
        <f>B11*0.056</f>
        <v>0</v>
      </c>
      <c r="V11" s="1">
        <f>B11*0.066</f>
        <v>0</v>
      </c>
      <c r="W11" s="1">
        <f>B11*0.4178</f>
        <v>0</v>
      </c>
      <c r="X11" s="1">
        <f>B11/3/4*3.5</f>
        <v>0</v>
      </c>
      <c r="Y11" s="1">
        <f>B11*10.85</f>
        <v>0</v>
      </c>
    </row>
    <row r="12" spans="1:25" ht="15.75">
      <c r="A12" s="5">
        <v>159</v>
      </c>
      <c r="B12" s="3">
        <v>2348.45</v>
      </c>
      <c r="C12" s="1">
        <f>B12*0.6569</f>
        <v>1542.696805</v>
      </c>
      <c r="D12" s="1">
        <f>B12*0.7228</f>
        <v>1697.4596599999998</v>
      </c>
      <c r="E12" s="1">
        <f>B12*0.7888</f>
        <v>1852.4573599999997</v>
      </c>
      <c r="F12" s="1">
        <f>B12*0.8217</f>
        <v>1929.7213649999999</v>
      </c>
      <c r="G12" s="1">
        <f>B12*0.8547</f>
        <v>2007.2202149999998</v>
      </c>
      <c r="H12" s="1">
        <f>B12*0.8877</f>
        <v>2084.719065</v>
      </c>
      <c r="I12" s="1">
        <f>B12*0.9206</f>
        <v>2161.9830699999998</v>
      </c>
      <c r="J12" s="1">
        <f>B12*0.9866</f>
        <v>2316.98077</v>
      </c>
      <c r="K12" s="1">
        <f>B12*1.0525</f>
        <v>2471.7436249999996</v>
      </c>
      <c r="L12" s="1">
        <f>B12*1.1185</f>
        <v>2626.741325</v>
      </c>
      <c r="M12" s="1">
        <f>B12*0.0117</f>
        <v>27.476865</v>
      </c>
      <c r="N12" s="1">
        <f>B12*0.0185</f>
        <v>43.446324999999995</v>
      </c>
      <c r="O12" s="1">
        <f>B12*0.026</f>
        <v>61.05969999999999</v>
      </c>
      <c r="P12" s="1">
        <f>B12*0.03</f>
        <v>70.45349999999999</v>
      </c>
      <c r="Q12" s="1">
        <f>B12*0.0342</f>
        <v>80.31698999999999</v>
      </c>
      <c r="R12" s="1">
        <f>B12*0.0385</f>
        <v>90.415325</v>
      </c>
      <c r="S12" s="1">
        <f>B12*0.043</f>
        <v>100.98334999999999</v>
      </c>
      <c r="T12" s="1">
        <f>B12*0.0525</f>
        <v>123.29362499999999</v>
      </c>
      <c r="U12" s="1">
        <f>B12*0.0627</f>
        <v>147.247815</v>
      </c>
      <c r="V12" s="1">
        <f>B12*0.0735</f>
        <v>172.61107499999997</v>
      </c>
      <c r="W12" s="1">
        <f>B12*0.5</f>
        <v>1174.225</v>
      </c>
      <c r="X12" s="1">
        <f>B12/3/5*3.5</f>
        <v>547.9716666666667</v>
      </c>
      <c r="Y12" s="1">
        <f>B12*15.04</f>
        <v>35320.687999999995</v>
      </c>
    </row>
    <row r="13" spans="1:25" ht="15.75">
      <c r="A13" s="5">
        <v>219</v>
      </c>
      <c r="B13" s="3">
        <v>0</v>
      </c>
      <c r="C13" s="1">
        <f>B13*0.8453</f>
        <v>0</v>
      </c>
      <c r="D13" s="1">
        <f>B13*0.9112</f>
        <v>0</v>
      </c>
      <c r="E13" s="1">
        <f>B13*0.9772</f>
        <v>0</v>
      </c>
      <c r="F13" s="1">
        <f>B13*1.0101</f>
        <v>0</v>
      </c>
      <c r="G13" s="1">
        <f>B13*1.0431</f>
        <v>0</v>
      </c>
      <c r="H13" s="13">
        <f>B13*1.0761</f>
        <v>0</v>
      </c>
      <c r="I13" s="1">
        <f>B13*1.109</f>
        <v>0</v>
      </c>
      <c r="J13" s="1">
        <f>B13*1.175</f>
        <v>0</v>
      </c>
      <c r="K13" s="1">
        <f>B13*1.2409</f>
        <v>0</v>
      </c>
      <c r="L13" s="1">
        <f>B13*1.3069</f>
        <v>0</v>
      </c>
      <c r="M13" s="1">
        <f>B13*0.0156</f>
        <v>0</v>
      </c>
      <c r="N13" s="1">
        <f>B13*0.0243</f>
        <v>0</v>
      </c>
      <c r="O13" s="1">
        <f>B13*0.0338</f>
        <v>0</v>
      </c>
      <c r="P13" s="1">
        <f>B13*0.0387</f>
        <v>0</v>
      </c>
      <c r="Q13" s="1">
        <f>B13*0.0439</f>
        <v>0</v>
      </c>
      <c r="R13" s="1">
        <f>B13*0.0492</f>
        <v>0</v>
      </c>
      <c r="S13" s="1">
        <f>B13*0.0546</f>
        <v>0</v>
      </c>
      <c r="T13" s="1">
        <f>B13*0.0661</f>
        <v>0</v>
      </c>
      <c r="U13" s="1">
        <f>B13*0.0783</f>
        <v>0</v>
      </c>
      <c r="V13" s="1">
        <f>B13*0.0911</f>
        <v>0</v>
      </c>
      <c r="W13" s="1">
        <f>B13*0.688</f>
        <v>0</v>
      </c>
      <c r="X13" s="1">
        <f>B13/3/5.5*4</f>
        <v>0</v>
      </c>
      <c r="Y13" s="1">
        <f>B13*17.81</f>
        <v>0</v>
      </c>
    </row>
    <row r="14" spans="1:25" ht="15.75">
      <c r="A14" s="5">
        <v>273</v>
      </c>
      <c r="B14" s="3">
        <v>0</v>
      </c>
      <c r="C14" s="1">
        <f>B14*1.0148</f>
        <v>0</v>
      </c>
      <c r="D14" s="1">
        <f>B14*1.0808</f>
        <v>0</v>
      </c>
      <c r="E14" s="1">
        <f>B14*1.1467</f>
        <v>0</v>
      </c>
      <c r="F14" s="1">
        <f>B14*1.1797</f>
        <v>0</v>
      </c>
      <c r="G14" s="1">
        <f>B14*1.2127</f>
        <v>0</v>
      </c>
      <c r="H14" s="1">
        <f>B14*1.2456</f>
        <v>0</v>
      </c>
      <c r="I14" s="1">
        <f>B14*1.2786</f>
        <v>0</v>
      </c>
      <c r="J14" s="1">
        <f>B14*1.3445</f>
        <v>0</v>
      </c>
      <c r="K14" s="1">
        <f>B14*1.1405</f>
        <v>0</v>
      </c>
      <c r="L14" s="1">
        <f>B14*1.4764</f>
        <v>0</v>
      </c>
      <c r="M14" s="1">
        <f>B14*0.019</f>
        <v>0</v>
      </c>
      <c r="N14" s="1">
        <f>B14*0.0295</f>
        <v>0</v>
      </c>
      <c r="O14" s="1">
        <f>B14*0.0408</f>
        <v>0</v>
      </c>
      <c r="P14" s="1">
        <f>B14*0.0466</f>
        <v>0</v>
      </c>
      <c r="Q14" s="1">
        <f>B14*0.0527</f>
        <v>0</v>
      </c>
      <c r="R14" s="1">
        <f>B14*0.0589</f>
        <v>0</v>
      </c>
      <c r="S14" s="1">
        <f>B14*0.0652</f>
        <v>0</v>
      </c>
      <c r="T14" s="1">
        <f>B14*0.0784</f>
        <v>0</v>
      </c>
      <c r="U14" s="1">
        <f>B14*0.0922</f>
        <v>0</v>
      </c>
      <c r="V14" s="1">
        <f>B14*0.1068</f>
        <v>0</v>
      </c>
      <c r="W14" s="1">
        <f>B14*0.8577</f>
        <v>0</v>
      </c>
      <c r="X14" s="1">
        <f>B14/3/6*5</f>
        <v>0</v>
      </c>
      <c r="Y14" s="1">
        <f>B14*31.52</f>
        <v>0</v>
      </c>
    </row>
    <row r="15" spans="1:25" ht="15.75">
      <c r="A15" s="5">
        <v>325</v>
      </c>
      <c r="B15" s="3">
        <v>0</v>
      </c>
      <c r="C15" s="1">
        <f>B15*1.1781</f>
        <v>0</v>
      </c>
      <c r="D15" s="1">
        <f>B15*1.2237</f>
        <v>0</v>
      </c>
      <c r="E15" s="1">
        <f>B15*1.31</f>
        <v>0</v>
      </c>
      <c r="F15" s="1">
        <f>B15*1.343</f>
        <v>0</v>
      </c>
      <c r="G15" s="1">
        <f>B15*1.3759</f>
        <v>0</v>
      </c>
      <c r="H15" s="1">
        <f>B15*1.4089</f>
        <v>0</v>
      </c>
      <c r="I15" s="1">
        <f>B15*1.4419</f>
        <v>0</v>
      </c>
      <c r="J15" s="1">
        <f>B15*1.5078</f>
        <v>0</v>
      </c>
      <c r="K15" s="1">
        <f>B15*1.5738</f>
        <v>0</v>
      </c>
      <c r="L15" s="1">
        <f>B15*1.6397</f>
        <v>0</v>
      </c>
      <c r="M15" s="1">
        <f>B15*0.0224</f>
        <v>0</v>
      </c>
      <c r="N15" s="1">
        <f>B15*0.0346</f>
        <v>0</v>
      </c>
      <c r="O15" s="1">
        <f>B15*0.0475</f>
        <v>0</v>
      </c>
      <c r="P15" s="1">
        <f>B15*0.0542</f>
        <v>0</v>
      </c>
      <c r="Q15" s="1">
        <f>B15*0.0611</f>
        <v>0</v>
      </c>
      <c r="R15" s="1">
        <f>B15*0.0681</f>
        <v>0</v>
      </c>
      <c r="S15" s="1">
        <f>B15*0.0753</f>
        <v>0</v>
      </c>
      <c r="T15" s="1">
        <f>B15*0.0902</f>
        <v>0</v>
      </c>
      <c r="U15" s="1">
        <f>B15*0.1058</f>
        <v>0</v>
      </c>
      <c r="V15" s="1">
        <f>B15*0.122</f>
        <v>0</v>
      </c>
      <c r="W15" s="1">
        <f>B15*1.021</f>
        <v>0</v>
      </c>
      <c r="X15" s="1"/>
      <c r="Y15" s="1"/>
    </row>
    <row r="16" spans="1:25" ht="15.75">
      <c r="A16" s="5">
        <v>377</v>
      </c>
      <c r="B16" s="3">
        <v>0</v>
      </c>
      <c r="C16" s="1">
        <f>B16*1.3421</f>
        <v>0</v>
      </c>
      <c r="D16" s="1">
        <f>B16*1.4081</f>
        <v>0</v>
      </c>
      <c r="E16" s="1">
        <f>B15*1.474</f>
        <v>0</v>
      </c>
      <c r="F16" s="1">
        <f>B16*1.507</f>
        <v>0</v>
      </c>
      <c r="G16" s="1">
        <f>B16*1.54</f>
        <v>0</v>
      </c>
      <c r="H16" s="1">
        <f>B16*1.573</f>
        <v>0</v>
      </c>
      <c r="I16" s="1">
        <f>B15*1.606</f>
        <v>0</v>
      </c>
      <c r="J16" s="1">
        <f>B16*1.672</f>
        <v>0</v>
      </c>
      <c r="K16" s="1">
        <f>B16*1.7379</f>
        <v>0</v>
      </c>
      <c r="L16" s="1">
        <f>B16*1.8039</f>
        <v>0</v>
      </c>
      <c r="M16" s="1">
        <f>B16*0.0258</f>
        <v>0</v>
      </c>
      <c r="N16" s="1">
        <f>B16*0.0398</f>
        <v>0</v>
      </c>
      <c r="O16" s="1">
        <f>B16*0.0543</f>
        <v>0</v>
      </c>
      <c r="P16" s="1">
        <f>B16*0.0619</f>
        <v>0</v>
      </c>
      <c r="Q16" s="1">
        <f>B16*0.0695</f>
        <v>0</v>
      </c>
      <c r="R16" s="1">
        <f>B16*0.0775</f>
        <v>0</v>
      </c>
      <c r="S16" s="1">
        <f>B16*0.0854</f>
        <v>0</v>
      </c>
      <c r="T16" s="1">
        <f>B16*0.1021</f>
        <v>0</v>
      </c>
      <c r="U16" s="1">
        <f>B16*0.1193</f>
        <v>0</v>
      </c>
      <c r="V16" s="1">
        <f>B16*0.1373</f>
        <v>0</v>
      </c>
      <c r="W16" s="1">
        <f>B16*1.184</f>
        <v>0</v>
      </c>
      <c r="X16" s="1">
        <v>0</v>
      </c>
      <c r="Y16" s="1">
        <v>0</v>
      </c>
    </row>
    <row r="17" spans="1:25" ht="14.25">
      <c r="A17" s="3" t="s">
        <v>15</v>
      </c>
      <c r="B17" s="3">
        <v>0</v>
      </c>
      <c r="C17" s="3">
        <f aca="true" t="shared" si="0" ref="C17:Y17">SUM(C4:C16)</f>
        <v>3364.375805</v>
      </c>
      <c r="D17" s="3">
        <f t="shared" si="0"/>
        <v>3843.7361599999995</v>
      </c>
      <c r="E17" s="3">
        <f t="shared" si="0"/>
        <v>4318.58696</v>
      </c>
      <c r="F17" s="3">
        <f t="shared" si="0"/>
        <v>4555.604665</v>
      </c>
      <c r="G17" s="3">
        <f t="shared" si="0"/>
        <v>4792.947914999999</v>
      </c>
      <c r="H17" s="3">
        <f t="shared" si="0"/>
        <v>5030.335265</v>
      </c>
      <c r="I17" s="3">
        <f t="shared" si="0"/>
        <v>5267.45457</v>
      </c>
      <c r="J17" s="3">
        <f t="shared" si="0"/>
        <v>5742.185170000001</v>
      </c>
      <c r="K17" s="3">
        <f t="shared" si="0"/>
        <v>5402.317724999999</v>
      </c>
      <c r="L17" s="3">
        <f t="shared" si="0"/>
        <v>5798.196925</v>
      </c>
      <c r="M17" s="8">
        <f t="shared" si="0"/>
        <v>55.987764999999996</v>
      </c>
      <c r="N17" s="8">
        <f t="shared" si="0"/>
        <v>91.01532499999999</v>
      </c>
      <c r="O17" s="8">
        <f t="shared" si="0"/>
        <v>130.8832</v>
      </c>
      <c r="P17" s="8">
        <f t="shared" si="0"/>
        <v>152.5735</v>
      </c>
      <c r="Q17" s="8">
        <f t="shared" si="0"/>
        <v>175.78129</v>
      </c>
      <c r="R17" s="8">
        <f t="shared" si="0"/>
        <v>200.007725</v>
      </c>
      <c r="S17" s="8">
        <f t="shared" si="0"/>
        <v>225.11255</v>
      </c>
      <c r="T17" s="8">
        <f t="shared" si="0"/>
        <v>279.810525</v>
      </c>
      <c r="U17" s="8">
        <f t="shared" si="0"/>
        <v>301.212615</v>
      </c>
      <c r="V17" s="8">
        <f t="shared" si="0"/>
        <v>356.748075</v>
      </c>
      <c r="W17" s="4">
        <f t="shared" si="0"/>
        <v>2236.477</v>
      </c>
      <c r="X17" s="3">
        <f t="shared" si="0"/>
        <v>2176.1383333333333</v>
      </c>
      <c r="Y17" s="3">
        <f t="shared" si="0"/>
        <v>60310.208</v>
      </c>
    </row>
    <row r="18" spans="1:25" ht="14.25">
      <c r="A18" s="6"/>
      <c r="B18" s="3"/>
      <c r="C18" s="17" t="s">
        <v>56</v>
      </c>
      <c r="D18" s="27"/>
      <c r="E18" s="27"/>
      <c r="F18" s="27"/>
      <c r="G18" s="28"/>
      <c r="H18" s="10"/>
      <c r="I18" s="10"/>
      <c r="J18" s="10"/>
      <c r="K18" s="10"/>
      <c r="L18" s="10"/>
      <c r="M18" s="8"/>
      <c r="N18" s="8"/>
      <c r="O18" s="8"/>
      <c r="P18" s="8"/>
      <c r="Q18" s="8"/>
      <c r="R18" s="8"/>
      <c r="S18" s="8"/>
      <c r="T18" s="8"/>
      <c r="U18" s="8"/>
      <c r="V18" s="8"/>
      <c r="W18" s="4"/>
      <c r="X18" s="3"/>
      <c r="Y18" s="2"/>
    </row>
    <row r="19" spans="1:25" ht="15.75">
      <c r="A19" s="15" t="s">
        <v>15</v>
      </c>
      <c r="B19" s="5" t="s">
        <v>30</v>
      </c>
      <c r="C19" s="17">
        <f>SUM(B4:B7)</f>
        <v>2606</v>
      </c>
      <c r="D19" s="18"/>
      <c r="E19" s="18"/>
      <c r="F19" s="18"/>
      <c r="G19" s="19"/>
      <c r="H19" s="12"/>
      <c r="I19" s="12"/>
      <c r="J19" s="12"/>
      <c r="K19" s="12"/>
      <c r="L19" s="12"/>
      <c r="M19" s="8"/>
      <c r="N19" s="8"/>
      <c r="O19" s="8"/>
      <c r="P19" s="8"/>
      <c r="Q19" s="8"/>
      <c r="R19" s="8"/>
      <c r="S19" s="8"/>
      <c r="T19" s="8"/>
      <c r="U19" s="8"/>
      <c r="V19" s="8"/>
      <c r="W19" s="4"/>
      <c r="X19" s="3"/>
      <c r="Y19" s="2"/>
    </row>
    <row r="20" spans="1:25" ht="15.75">
      <c r="A20" s="16"/>
      <c r="B20" s="5" t="s">
        <v>57</v>
      </c>
      <c r="C20" s="17">
        <f>SUM(B8:B10)</f>
        <v>2242</v>
      </c>
      <c r="D20" s="18"/>
      <c r="E20" s="18"/>
      <c r="F20" s="18"/>
      <c r="G20" s="19"/>
      <c r="H20" s="11"/>
      <c r="I20" s="11"/>
      <c r="J20" s="11"/>
      <c r="K20" s="11"/>
      <c r="L20" s="11"/>
      <c r="M20" s="26"/>
      <c r="N20" s="27"/>
      <c r="O20" s="27"/>
      <c r="P20" s="27"/>
      <c r="Q20" s="27"/>
      <c r="R20" s="27"/>
      <c r="S20" s="27"/>
      <c r="T20" s="28"/>
      <c r="U20" s="10"/>
      <c r="V20" s="10"/>
      <c r="W20" s="3"/>
      <c r="X20" s="2"/>
      <c r="Y20" s="2"/>
    </row>
    <row r="21" spans="1:25" ht="15.75">
      <c r="A21" s="16"/>
      <c r="B21" s="5" t="s">
        <v>58</v>
      </c>
      <c r="C21" s="17">
        <f>SUM(B11:B13)</f>
        <v>2348.45</v>
      </c>
      <c r="D21" s="18"/>
      <c r="E21" s="18"/>
      <c r="F21" s="18"/>
      <c r="G21" s="19"/>
      <c r="H21" s="12"/>
      <c r="I21" s="12"/>
      <c r="J21" s="12"/>
      <c r="K21" s="12"/>
      <c r="L21" s="1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2"/>
      <c r="Y21" s="2"/>
    </row>
    <row r="22" spans="1:23" ht="14.25">
      <c r="A22" s="16"/>
      <c r="B22" s="7"/>
      <c r="C22" s="29"/>
      <c r="D22" s="29"/>
      <c r="E22" s="29"/>
      <c r="F22" s="29"/>
      <c r="G22" s="29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</sheetData>
  <mergeCells count="16">
    <mergeCell ref="X1:X3"/>
    <mergeCell ref="Y1:Y3"/>
    <mergeCell ref="C2:L2"/>
    <mergeCell ref="M2:V2"/>
    <mergeCell ref="C1:L1"/>
    <mergeCell ref="M1:V1"/>
    <mergeCell ref="A19:A22"/>
    <mergeCell ref="C19:G19"/>
    <mergeCell ref="C20:G20"/>
    <mergeCell ref="W1:W3"/>
    <mergeCell ref="A1:A3"/>
    <mergeCell ref="B1:B3"/>
    <mergeCell ref="M20:T20"/>
    <mergeCell ref="C21:G21"/>
    <mergeCell ref="C22:G22"/>
    <mergeCell ref="C18:G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1">
      <selection activeCell="B11" sqref="B11"/>
    </sheetView>
  </sheetViews>
  <sheetFormatPr defaultColWidth="9.00390625" defaultRowHeight="14.25"/>
  <cols>
    <col min="1" max="1" width="7.25390625" style="0" customWidth="1"/>
    <col min="2" max="2" width="7.625" style="0" customWidth="1"/>
    <col min="3" max="9" width="7.125" style="0" customWidth="1"/>
    <col min="10" max="10" width="8.50390625" style="0" customWidth="1"/>
    <col min="11" max="11" width="7.125" style="0" customWidth="1"/>
    <col min="12" max="12" width="8.50390625" style="0" customWidth="1"/>
    <col min="13" max="14" width="7.125" style="0" customWidth="1"/>
    <col min="15" max="15" width="8.00390625" style="0" customWidth="1"/>
    <col min="16" max="16" width="12.50390625" style="0" customWidth="1"/>
  </cols>
  <sheetData>
    <row r="1" spans="1:17" ht="14.25">
      <c r="A1" s="23" t="s">
        <v>16</v>
      </c>
      <c r="B1" s="23" t="s">
        <v>23</v>
      </c>
      <c r="C1" s="17" t="s">
        <v>24</v>
      </c>
      <c r="D1" s="27"/>
      <c r="E1" s="27"/>
      <c r="F1" s="27"/>
      <c r="G1" s="27"/>
      <c r="H1" s="28"/>
      <c r="I1" s="33" t="s">
        <v>14</v>
      </c>
      <c r="J1" s="15"/>
      <c r="K1" s="15"/>
      <c r="L1" s="15"/>
      <c r="M1" s="15"/>
      <c r="N1" s="34"/>
      <c r="O1" s="20" t="s">
        <v>25</v>
      </c>
      <c r="P1" s="20" t="s">
        <v>28</v>
      </c>
      <c r="Q1" s="30" t="s">
        <v>35</v>
      </c>
    </row>
    <row r="2" spans="1:17" ht="14.25">
      <c r="A2" s="24"/>
      <c r="B2" s="24"/>
      <c r="C2" s="17" t="s">
        <v>13</v>
      </c>
      <c r="D2" s="27"/>
      <c r="E2" s="27"/>
      <c r="F2" s="27"/>
      <c r="G2" s="27"/>
      <c r="H2" s="28"/>
      <c r="I2" s="31" t="s">
        <v>13</v>
      </c>
      <c r="J2" s="16"/>
      <c r="K2" s="16"/>
      <c r="L2" s="16"/>
      <c r="M2" s="16"/>
      <c r="N2" s="32"/>
      <c r="O2" s="21"/>
      <c r="P2" s="21"/>
      <c r="Q2" s="30"/>
    </row>
    <row r="3" spans="1:17" ht="15.75">
      <c r="A3" s="25"/>
      <c r="B3" s="25"/>
      <c r="C3" s="3" t="s">
        <v>17</v>
      </c>
      <c r="D3" s="3" t="s">
        <v>18</v>
      </c>
      <c r="E3" s="5" t="s">
        <v>19</v>
      </c>
      <c r="F3" s="3" t="s">
        <v>20</v>
      </c>
      <c r="G3" s="3" t="s">
        <v>21</v>
      </c>
      <c r="H3" s="5" t="s">
        <v>36</v>
      </c>
      <c r="I3" s="3" t="s">
        <v>17</v>
      </c>
      <c r="J3" s="3" t="s">
        <v>18</v>
      </c>
      <c r="K3" s="3" t="s">
        <v>19</v>
      </c>
      <c r="L3" s="3" t="s">
        <v>20</v>
      </c>
      <c r="M3" s="3" t="s">
        <v>21</v>
      </c>
      <c r="N3" s="14" t="s">
        <v>36</v>
      </c>
      <c r="O3" s="22"/>
      <c r="P3" s="22"/>
      <c r="Q3" s="30"/>
    </row>
    <row r="4" spans="1:17" ht="15.75">
      <c r="A4" s="5" t="s">
        <v>0</v>
      </c>
      <c r="B4" s="3">
        <v>0</v>
      </c>
      <c r="C4" s="1">
        <v>10</v>
      </c>
      <c r="D4" s="1">
        <f>B4*0.2418</f>
        <v>0</v>
      </c>
      <c r="E4" s="1">
        <f>B4*0.2748</f>
        <v>0</v>
      </c>
      <c r="F4" s="1">
        <f>B4*0.3077</f>
        <v>0</v>
      </c>
      <c r="G4" s="1">
        <f>B4*0.3737</f>
        <v>0</v>
      </c>
      <c r="H4" s="1">
        <f>B4*0.4396</f>
        <v>0</v>
      </c>
      <c r="I4" s="1">
        <f>B4*0.0021</f>
        <v>0</v>
      </c>
      <c r="J4" s="1">
        <f>B4*0.0031</f>
        <v>0</v>
      </c>
      <c r="K4" s="1">
        <f>B4*0.0043</f>
        <v>0</v>
      </c>
      <c r="L4" s="1">
        <f>B4*0.0056</f>
        <v>0</v>
      </c>
      <c r="M4" s="1">
        <f>B4*0.0088</f>
        <v>0</v>
      </c>
      <c r="N4" s="1">
        <f>B4*0.0127</f>
        <v>0</v>
      </c>
      <c r="O4" s="1">
        <f>B4*0.026752*3.14</f>
        <v>0</v>
      </c>
      <c r="P4" s="1">
        <f>B4/3/2*2.5</f>
        <v>0</v>
      </c>
      <c r="Q4" s="1">
        <f>B4*1.7</f>
        <v>0</v>
      </c>
    </row>
    <row r="5" spans="1:17" ht="15.75">
      <c r="A5" s="5" t="s">
        <v>1</v>
      </c>
      <c r="B5" s="3">
        <v>0</v>
      </c>
      <c r="C5" s="1">
        <f>B5*0.23</f>
        <v>0</v>
      </c>
      <c r="D5" s="1">
        <f>B5*0.2628</f>
        <v>0</v>
      </c>
      <c r="E5" s="1">
        <f>B5*0.2958</f>
        <v>0</v>
      </c>
      <c r="F5" s="1">
        <f>B5*0.3288</f>
        <v>0</v>
      </c>
      <c r="G5" s="1">
        <f>B5*0.3946</f>
        <v>0</v>
      </c>
      <c r="H5" s="1">
        <f>B5*0.4606</f>
        <v>0</v>
      </c>
      <c r="I5" s="1">
        <f>B5*0.0024</f>
        <v>0</v>
      </c>
      <c r="J5" s="1">
        <f>B5*0.0035</f>
        <v>0</v>
      </c>
      <c r="K5" s="1">
        <f>B5*0.0048</f>
        <v>0</v>
      </c>
      <c r="L5" s="1">
        <f>B5*0.0063</f>
        <v>0</v>
      </c>
      <c r="M5" s="1">
        <f>B5*0.0097</f>
        <v>0</v>
      </c>
      <c r="N5" s="1">
        <f>B5*0.0138</f>
        <v>0</v>
      </c>
      <c r="O5" s="1">
        <f>B5*0.0335*3.14</f>
        <v>0</v>
      </c>
      <c r="P5" s="1">
        <f>B5/3/2*2.5</f>
        <v>0</v>
      </c>
      <c r="Q5" s="1">
        <f>B5*2.53</f>
        <v>0</v>
      </c>
    </row>
    <row r="6" spans="1:18" ht="15.75">
      <c r="A6" s="5" t="s">
        <v>2</v>
      </c>
      <c r="B6" s="3">
        <v>0</v>
      </c>
      <c r="C6" s="1">
        <f>B6*0.2576</f>
        <v>0</v>
      </c>
      <c r="D6" s="1">
        <f>B6*0.2905</f>
        <v>0</v>
      </c>
      <c r="E6" s="1">
        <f>B6*0.3234</f>
        <v>0</v>
      </c>
      <c r="F6" s="1">
        <f>B6*0.3564</f>
        <v>0</v>
      </c>
      <c r="G6" s="1">
        <f>B6*0.4223</f>
        <v>0</v>
      </c>
      <c r="H6" s="1">
        <f>B6*0.4883</f>
        <v>0</v>
      </c>
      <c r="I6" s="1">
        <f>B6*0.0028</f>
        <v>0</v>
      </c>
      <c r="J6" s="1">
        <f>B6*0.0041</f>
        <v>0</v>
      </c>
      <c r="K6" s="1">
        <f>B6*0.0056</f>
        <v>0</v>
      </c>
      <c r="L6" s="1">
        <f>B6*0.0071</f>
        <v>0</v>
      </c>
      <c r="M6" s="1">
        <f>B6*0.0108</f>
        <v>0</v>
      </c>
      <c r="N6" s="13">
        <f>B6*0.0152</f>
        <v>0</v>
      </c>
      <c r="O6" s="1">
        <f>B6*0.04226*3.14</f>
        <v>0</v>
      </c>
      <c r="P6" s="1">
        <f>B6/3/2*2.5</f>
        <v>0</v>
      </c>
      <c r="Q6" s="1">
        <f>B6*3.27</f>
        <v>0</v>
      </c>
      <c r="R6">
        <f>1.23-0.71</f>
        <v>0.52</v>
      </c>
    </row>
    <row r="7" spans="1:17" ht="15.75">
      <c r="A7" s="5" t="s">
        <v>3</v>
      </c>
      <c r="B7" s="3">
        <v>0</v>
      </c>
      <c r="C7" s="1">
        <f>B7*0.2755</f>
        <v>0</v>
      </c>
      <c r="D7" s="1">
        <f>B7*0.3083</f>
        <v>0</v>
      </c>
      <c r="E7" s="1">
        <f>B7*0.3413</f>
        <v>0</v>
      </c>
      <c r="F7" s="1">
        <f>B7*0.3743</f>
        <v>0</v>
      </c>
      <c r="G7" s="1">
        <f>B7*0.4402</f>
        <v>0</v>
      </c>
      <c r="H7" s="1">
        <f>B7*0.5062</f>
        <v>0</v>
      </c>
      <c r="I7" s="1">
        <f>B7*0.0031</f>
        <v>0</v>
      </c>
      <c r="J7" s="1">
        <f>B7*0.0044</f>
        <v>0</v>
      </c>
      <c r="K7" s="1">
        <f>B7*0.006</f>
        <v>0</v>
      </c>
      <c r="L7" s="1">
        <f>B7*0.0076</f>
        <v>0</v>
      </c>
      <c r="M7" s="1">
        <f>B7*0.0116</f>
        <v>0</v>
      </c>
      <c r="N7" s="1">
        <f>B7*0.0162</f>
        <v>0</v>
      </c>
      <c r="O7" s="1">
        <f>B7*0.048*3.14</f>
        <v>0</v>
      </c>
      <c r="P7" s="1">
        <f>B7/3/2.5*2.5</f>
        <v>0</v>
      </c>
      <c r="Q7" s="1">
        <f>B7*4.01</f>
        <v>0</v>
      </c>
    </row>
    <row r="8" spans="1:17" ht="15.75">
      <c r="A8" s="5" t="s">
        <v>4</v>
      </c>
      <c r="B8" s="3">
        <v>0</v>
      </c>
      <c r="C8" s="1">
        <f>B8*0.3132</f>
        <v>0</v>
      </c>
      <c r="D8" s="1">
        <f>B8*0.346</f>
        <v>0</v>
      </c>
      <c r="E8" s="1">
        <f>B8*0.379</f>
        <v>0</v>
      </c>
      <c r="F8" s="1">
        <f>B8*0.412</f>
        <v>0</v>
      </c>
      <c r="G8" s="1">
        <f>B8*0.4779</f>
        <v>0</v>
      </c>
      <c r="H8" s="13">
        <f>B8*0.5438</f>
        <v>0</v>
      </c>
      <c r="I8" s="1">
        <f>B8*0.0037</f>
        <v>0</v>
      </c>
      <c r="J8" s="1">
        <f>B8*0.0053</f>
        <v>0</v>
      </c>
      <c r="K8" s="1">
        <f>B8*0.0069</f>
        <v>0</v>
      </c>
      <c r="L8" s="1">
        <f>B8*0.0089</f>
        <v>0</v>
      </c>
      <c r="M8" s="1">
        <f>B8*0.0131</f>
        <v>0</v>
      </c>
      <c r="N8" s="1">
        <f>B8*0.0181</f>
        <v>0</v>
      </c>
      <c r="O8" s="1">
        <f>B8*0.06*3.14</f>
        <v>0</v>
      </c>
      <c r="P8" s="1">
        <f>B8/3/2.5*2.5</f>
        <v>0</v>
      </c>
      <c r="Q8" s="1">
        <f>B8*5.1</f>
        <v>0</v>
      </c>
    </row>
    <row r="9" spans="1:17" ht="15.75">
      <c r="A9" s="5" t="s">
        <v>5</v>
      </c>
      <c r="B9" s="3">
        <v>0</v>
      </c>
      <c r="C9" s="1">
        <f>B9*0.3619</f>
        <v>0</v>
      </c>
      <c r="D9" s="1">
        <f>B9*0.3947</f>
        <v>0</v>
      </c>
      <c r="E9" s="1">
        <f>B9*0.4277</f>
        <v>0</v>
      </c>
      <c r="F9" s="1">
        <f>B9*0.4606</f>
        <v>0</v>
      </c>
      <c r="G9" s="1">
        <f>B9*0.5268</f>
        <v>0</v>
      </c>
      <c r="H9" s="1">
        <f>B9*0.5925</f>
        <v>0</v>
      </c>
      <c r="I9" s="1">
        <f>B9*0.0044</f>
        <v>0</v>
      </c>
      <c r="J9" s="1">
        <f>B9*0.0062</f>
        <v>0</v>
      </c>
      <c r="K9" s="1">
        <f>B9*0.0083</f>
        <v>0</v>
      </c>
      <c r="L9" s="1">
        <f>B9*0.0104</f>
        <v>0</v>
      </c>
      <c r="M9" s="1">
        <f>B9*0.0152</f>
        <v>0</v>
      </c>
      <c r="N9" s="1">
        <f>B9*0.0206</f>
        <v>0</v>
      </c>
      <c r="O9" s="1">
        <f>B9*0.07554*3.14</f>
        <v>0</v>
      </c>
      <c r="P9" s="1">
        <f>B9/3/3.5*3</f>
        <v>0</v>
      </c>
      <c r="Q9" s="1">
        <f>B9*6.94</f>
        <v>0</v>
      </c>
    </row>
    <row r="10" spans="1:17" ht="15.75">
      <c r="A10" s="5" t="s">
        <v>6</v>
      </c>
      <c r="B10" s="3">
        <v>0</v>
      </c>
      <c r="C10" s="1">
        <f>B10*0.4028</f>
        <v>0</v>
      </c>
      <c r="D10" s="1">
        <f>B10*0.4355</f>
        <v>0</v>
      </c>
      <c r="E10" s="1">
        <f>B10*0.4685</f>
        <v>0</v>
      </c>
      <c r="F10" s="1">
        <f>B10*0.5015</f>
        <v>0</v>
      </c>
      <c r="G10" s="1">
        <f>B10*0.5674</f>
        <v>0</v>
      </c>
      <c r="H10" s="1">
        <f>B10*0.6333</f>
        <v>0</v>
      </c>
      <c r="I10" s="1">
        <f>B10*0.0051</f>
        <v>0</v>
      </c>
      <c r="J10" s="1">
        <f>B10*0.0071</f>
        <v>0</v>
      </c>
      <c r="K10" s="1">
        <f>B10*0.0093</f>
        <v>0</v>
      </c>
      <c r="L10" s="1">
        <f>B10*0.0116</f>
        <v>0</v>
      </c>
      <c r="M10" s="1">
        <f>B10*0.0168</f>
        <v>0</v>
      </c>
      <c r="N10" s="1">
        <f>B10*0.0227</f>
        <v>0</v>
      </c>
      <c r="O10" s="1">
        <f>B10*0.0885*3.14</f>
        <v>0</v>
      </c>
      <c r="P10" s="1">
        <f>B10/3/3.5*3</f>
        <v>0</v>
      </c>
      <c r="Q10" s="1">
        <f>B10*8.72</f>
        <v>0</v>
      </c>
    </row>
    <row r="11" spans="1:17" ht="15.75">
      <c r="A11" s="5" t="s">
        <v>7</v>
      </c>
      <c r="B11" s="3">
        <v>0</v>
      </c>
      <c r="C11" s="1">
        <f>B11*0.4829</f>
        <v>0</v>
      </c>
      <c r="D11" s="1">
        <f>B11*0.5156</f>
        <v>0</v>
      </c>
      <c r="E11" s="1">
        <f>B11*0.5486</f>
        <v>0</v>
      </c>
      <c r="F11" s="1">
        <f>B11*0.5815</f>
        <v>0</v>
      </c>
      <c r="G11" s="1">
        <f>B11*0.6475</f>
        <v>0</v>
      </c>
      <c r="H11" s="1">
        <f>B11*0.7134</f>
        <v>0</v>
      </c>
      <c r="I11" s="1">
        <f>B11*0.0063</f>
        <v>0</v>
      </c>
      <c r="J11" s="1">
        <f>B11*0.0088</f>
        <v>0</v>
      </c>
      <c r="K11" s="1">
        <f>B11*0.0114</f>
        <v>0</v>
      </c>
      <c r="L11" s="1">
        <f>B11*0.0142</f>
        <v>0</v>
      </c>
      <c r="M11" s="1">
        <f>B11*0.0201</f>
        <v>0</v>
      </c>
      <c r="N11" s="1">
        <f>B11*0.0269</f>
        <v>0</v>
      </c>
      <c r="O11" s="1">
        <f>B11*0.114*3.14</f>
        <v>0</v>
      </c>
      <c r="P11" s="1">
        <f>B11/3/4*3.5</f>
        <v>0</v>
      </c>
      <c r="Q11" s="1">
        <f>B11*11.34</f>
        <v>0</v>
      </c>
    </row>
    <row r="12" spans="1:17" ht="15.75">
      <c r="A12" s="5" t="s">
        <v>8</v>
      </c>
      <c r="B12" s="3">
        <v>0</v>
      </c>
      <c r="C12" s="1">
        <f>B12*0.5645</f>
        <v>0</v>
      </c>
      <c r="D12" s="1">
        <f>B12*0.5972</f>
        <v>0</v>
      </c>
      <c r="E12" s="1">
        <f>B12*0.6302</f>
        <v>0</v>
      </c>
      <c r="F12" s="1">
        <f>B12*0.6632</f>
        <v>0</v>
      </c>
      <c r="G12" s="1">
        <f>B12*0.7291</f>
        <v>0</v>
      </c>
      <c r="H12" s="1">
        <f>B12*0.795</f>
        <v>0</v>
      </c>
      <c r="I12" s="1">
        <f>B12*0.0076</f>
        <v>0</v>
      </c>
      <c r="J12" s="1">
        <f>B12*0.0104</f>
        <v>0</v>
      </c>
      <c r="K12" s="1">
        <f>B12*0.0135</f>
        <v>0</v>
      </c>
      <c r="L12" s="1">
        <f>B12*0.0166</f>
        <v>0</v>
      </c>
      <c r="M12" s="1">
        <f>B12*0.0235</f>
        <v>0</v>
      </c>
      <c r="N12" s="1">
        <f>B12*0.0311</f>
        <v>0</v>
      </c>
      <c r="O12" s="1">
        <f>B12*0.14*3.14</f>
        <v>0</v>
      </c>
      <c r="P12" s="1">
        <f>B12/3/5*3.5</f>
        <v>0</v>
      </c>
      <c r="Q12" s="1">
        <f>B12*15.72</f>
        <v>0</v>
      </c>
    </row>
    <row r="13" spans="1:17" ht="15.75">
      <c r="A13" s="5" t="s">
        <v>9</v>
      </c>
      <c r="B13" s="3">
        <v>0</v>
      </c>
      <c r="C13" s="1">
        <f>B13*0.6431</f>
        <v>0</v>
      </c>
      <c r="D13" s="1">
        <f>B13*0.6757</f>
        <v>0</v>
      </c>
      <c r="E13" s="1">
        <f>B13*0.7087</f>
        <v>0</v>
      </c>
      <c r="F13" s="1">
        <f>B13*0.7417</f>
        <v>0</v>
      </c>
      <c r="G13" s="1">
        <f>B13*0.8076</f>
        <v>0</v>
      </c>
      <c r="H13" s="1">
        <f>B13*0.8735</f>
        <v>0</v>
      </c>
      <c r="I13" s="1">
        <f>B13*0.0088</f>
        <v>0</v>
      </c>
      <c r="J13" s="1">
        <f>B13*0.0121</f>
        <v>0</v>
      </c>
      <c r="K13" s="1">
        <f>B13*0.0155</f>
        <v>0</v>
      </c>
      <c r="L13" s="1">
        <f>B13*0.0191</f>
        <v>0</v>
      </c>
      <c r="M13" s="1">
        <f>B13*0.0268</f>
        <v>0</v>
      </c>
      <c r="N13" s="1">
        <f>B13*0.0351</f>
        <v>0</v>
      </c>
      <c r="O13" s="1">
        <f>B13*0.1651*3.14</f>
        <v>0</v>
      </c>
      <c r="P13" s="1">
        <f>B13/3/5.5*4</f>
        <v>0</v>
      </c>
      <c r="Q13" s="1">
        <f>B13*18.61</f>
        <v>0</v>
      </c>
    </row>
    <row r="14" spans="1:17" ht="15.75">
      <c r="A14" s="5" t="s">
        <v>10</v>
      </c>
      <c r="B14" s="3">
        <v>0</v>
      </c>
      <c r="C14" s="1">
        <f>B14*0.8127</f>
        <v>0</v>
      </c>
      <c r="D14" s="1">
        <f>B14*0.8457</f>
        <v>0</v>
      </c>
      <c r="E14" s="1">
        <f>B14*0.8787</f>
        <v>0</v>
      </c>
      <c r="F14" s="1">
        <f>B14*0.9117</f>
        <v>0</v>
      </c>
      <c r="G14" s="1">
        <f>B14*0.9777</f>
        <v>0</v>
      </c>
      <c r="H14" s="1"/>
      <c r="I14" s="1">
        <f>B14*0.0114</f>
        <v>0</v>
      </c>
      <c r="J14" s="1">
        <f>B14*0.0156</f>
        <v>0</v>
      </c>
      <c r="K14" s="1">
        <f>B14*0.0199</f>
        <v>0</v>
      </c>
      <c r="L14" s="1">
        <f>B14*0.0243</f>
        <v>0</v>
      </c>
      <c r="M14" s="1">
        <f>B14*0.0338</f>
        <v>0</v>
      </c>
      <c r="N14" s="1"/>
      <c r="O14" s="1">
        <f>B14*0.219*3.14</f>
        <v>0</v>
      </c>
      <c r="P14" s="1">
        <f>B14/3/6*5</f>
        <v>0</v>
      </c>
      <c r="Q14" s="1">
        <f>B14*31.52</f>
        <v>0</v>
      </c>
    </row>
    <row r="15" spans="1:17" ht="15.75">
      <c r="A15" s="5" t="s">
        <v>11</v>
      </c>
      <c r="B15" s="3">
        <v>0</v>
      </c>
      <c r="C15" s="1">
        <f>B15*0.9824</f>
        <v>0</v>
      </c>
      <c r="D15" s="1">
        <f>B15*1.0154</f>
        <v>0</v>
      </c>
      <c r="E15" s="1">
        <f>B15*1.0484</f>
        <v>0</v>
      </c>
      <c r="F15" s="1">
        <f>B15*1.0813</f>
        <v>0</v>
      </c>
      <c r="G15" s="1">
        <f>B15*1.1473</f>
        <v>0</v>
      </c>
      <c r="H15" s="1"/>
      <c r="I15" s="1">
        <f>B15*0.014</f>
        <v>0</v>
      </c>
      <c r="J15" s="1">
        <f>B15*0.0191</f>
        <v>0</v>
      </c>
      <c r="K15" s="1">
        <f>B15*0.0242</f>
        <v>0</v>
      </c>
      <c r="L15" s="1">
        <f>B15*0.0296</f>
        <v>0</v>
      </c>
      <c r="M15" s="1">
        <f>B15*0.0408</f>
        <v>0</v>
      </c>
      <c r="N15" s="1"/>
      <c r="O15" s="1">
        <f>B15*0.273*3.14</f>
        <v>0</v>
      </c>
      <c r="P15" s="1">
        <f>B15/3/6*5</f>
        <v>0</v>
      </c>
      <c r="Q15" s="1">
        <f>B15*42.72</f>
        <v>0</v>
      </c>
    </row>
    <row r="16" spans="1:17" ht="15.75">
      <c r="A16" s="5" t="s">
        <v>12</v>
      </c>
      <c r="B16" s="3">
        <v>0</v>
      </c>
      <c r="C16" s="1">
        <f>B16*1.1457</f>
        <v>0</v>
      </c>
      <c r="D16" s="1">
        <f>B16*1.1787</f>
        <v>0</v>
      </c>
      <c r="E16" s="1">
        <f>B16*1.2117</f>
        <v>0</v>
      </c>
      <c r="F16" s="1">
        <f>B16*1.2447</f>
        <v>0</v>
      </c>
      <c r="G16" s="1">
        <f>B16*1.3107</f>
        <v>0</v>
      </c>
      <c r="H16" s="1"/>
      <c r="I16" s="1">
        <f>B16*0.0166</f>
        <v>0</v>
      </c>
      <c r="J16" s="1">
        <f>B16*0.0244</f>
        <v>0</v>
      </c>
      <c r="K16" s="1">
        <f>B16*0.0285</f>
        <v>0</v>
      </c>
      <c r="L16" s="1">
        <f>B16*0.0347</f>
        <v>0</v>
      </c>
      <c r="M16" s="1">
        <f>B16*0.0476</f>
        <v>0</v>
      </c>
      <c r="N16" s="1"/>
      <c r="O16" s="1">
        <f>B16*0.325*3.14</f>
        <v>0</v>
      </c>
      <c r="P16" s="1">
        <f>B16/3/6*5</f>
        <v>0</v>
      </c>
      <c r="Q16" s="1">
        <f>B16*58.72</f>
        <v>0</v>
      </c>
    </row>
    <row r="17" spans="1:17" ht="15.75">
      <c r="A17" s="5" t="s">
        <v>22</v>
      </c>
      <c r="B17" s="3">
        <v>0</v>
      </c>
      <c r="C17" s="1">
        <f>B17*1.3091</f>
        <v>0</v>
      </c>
      <c r="D17" s="1">
        <f>B17*1.3421</f>
        <v>0</v>
      </c>
      <c r="E17" s="1">
        <f>B17*1.3751</f>
        <v>0</v>
      </c>
      <c r="F17" s="1">
        <f>B17*1.4081</f>
        <v>0</v>
      </c>
      <c r="G17" s="1">
        <f>B17*1.474</f>
        <v>0</v>
      </c>
      <c r="H17" s="1"/>
      <c r="I17" s="1">
        <f>B17*0.0191</f>
        <v>0</v>
      </c>
      <c r="J17" s="1">
        <f>B17*0.0258</f>
        <v>0</v>
      </c>
      <c r="K17" s="1">
        <f>B17*0.0327</f>
        <v>0</v>
      </c>
      <c r="L17" s="1">
        <f>B17*0.0397</f>
        <v>0</v>
      </c>
      <c r="M17" s="1">
        <f>B17*0.0543</f>
        <v>0</v>
      </c>
      <c r="N17" s="1"/>
      <c r="O17" s="1">
        <f>B17*0.377*3.14</f>
        <v>0</v>
      </c>
      <c r="P17" s="1">
        <f>B17/3/6*5</f>
        <v>0</v>
      </c>
      <c r="Q17" s="1">
        <f>B17*81.67</f>
        <v>0</v>
      </c>
    </row>
    <row r="18" spans="1:17" ht="14.25">
      <c r="A18" s="3" t="s">
        <v>15</v>
      </c>
      <c r="B18" s="3">
        <v>0</v>
      </c>
      <c r="C18" s="3">
        <f aca="true" t="shared" si="0" ref="C18:M18">SUM(C4:C17)</f>
        <v>10</v>
      </c>
      <c r="D18" s="3">
        <f t="shared" si="0"/>
        <v>0</v>
      </c>
      <c r="E18" s="3">
        <f t="shared" si="0"/>
        <v>0</v>
      </c>
      <c r="F18" s="3">
        <f t="shared" si="0"/>
        <v>0</v>
      </c>
      <c r="G18" s="3">
        <f t="shared" si="0"/>
        <v>0</v>
      </c>
      <c r="H18" s="3">
        <f t="shared" si="0"/>
        <v>0</v>
      </c>
      <c r="I18" s="8">
        <f t="shared" si="0"/>
        <v>0</v>
      </c>
      <c r="J18" s="8">
        <f t="shared" si="0"/>
        <v>0</v>
      </c>
      <c r="K18" s="8">
        <f t="shared" si="0"/>
        <v>0</v>
      </c>
      <c r="L18" s="8">
        <f t="shared" si="0"/>
        <v>0</v>
      </c>
      <c r="M18" s="8">
        <f t="shared" si="0"/>
        <v>0</v>
      </c>
      <c r="N18" s="8"/>
      <c r="O18" s="4">
        <f>SUM(O4:O17)</f>
        <v>0</v>
      </c>
      <c r="P18" s="3">
        <f>SUM(P4:P17)</f>
        <v>0</v>
      </c>
      <c r="Q18" s="3">
        <f>SUM(Q4:Q17)</f>
        <v>0</v>
      </c>
    </row>
    <row r="19" spans="1:17" ht="14.25">
      <c r="A19" s="6"/>
      <c r="B19" s="3"/>
      <c r="C19" s="17" t="s">
        <v>29</v>
      </c>
      <c r="D19" s="27"/>
      <c r="E19" s="27"/>
      <c r="F19" s="27"/>
      <c r="G19" s="28"/>
      <c r="H19" s="10"/>
      <c r="I19" s="8"/>
      <c r="J19" s="8"/>
      <c r="K19" s="8"/>
      <c r="L19" s="8"/>
      <c r="M19" s="8"/>
      <c r="N19" s="8"/>
      <c r="O19" s="4"/>
      <c r="P19" s="3"/>
      <c r="Q19" s="2"/>
    </row>
    <row r="20" spans="1:17" ht="15.75">
      <c r="A20" s="23" t="s">
        <v>15</v>
      </c>
      <c r="B20" s="5" t="s">
        <v>30</v>
      </c>
      <c r="C20" s="17">
        <f>SUM(B4:B8)</f>
        <v>0</v>
      </c>
      <c r="D20" s="18"/>
      <c r="E20" s="18"/>
      <c r="F20" s="18"/>
      <c r="G20" s="19"/>
      <c r="H20" s="12"/>
      <c r="I20" s="8"/>
      <c r="J20" s="8"/>
      <c r="K20" s="8"/>
      <c r="L20" s="8"/>
      <c r="M20" s="8"/>
      <c r="N20" s="8"/>
      <c r="O20" s="4"/>
      <c r="P20" s="3"/>
      <c r="Q20" s="2"/>
    </row>
    <row r="21" spans="1:17" ht="15.75">
      <c r="A21" s="35"/>
      <c r="B21" s="5" t="s">
        <v>31</v>
      </c>
      <c r="C21" s="17">
        <f>SUM(B9:B11)</f>
        <v>0</v>
      </c>
      <c r="D21" s="18"/>
      <c r="E21" s="18"/>
      <c r="F21" s="18"/>
      <c r="G21" s="19"/>
      <c r="H21" s="11"/>
      <c r="I21" s="26" t="s">
        <v>27</v>
      </c>
      <c r="J21" s="27"/>
      <c r="K21" s="27"/>
      <c r="L21" s="27"/>
      <c r="M21" s="28"/>
      <c r="N21" s="10"/>
      <c r="O21" s="3"/>
      <c r="P21" s="2"/>
      <c r="Q21" s="2"/>
    </row>
    <row r="22" spans="1:17" ht="15.75">
      <c r="A22" s="35"/>
      <c r="B22" s="5" t="s">
        <v>32</v>
      </c>
      <c r="C22" s="17">
        <f>SUM(B12:B14)</f>
        <v>0</v>
      </c>
      <c r="D22" s="18"/>
      <c r="E22" s="18"/>
      <c r="F22" s="18"/>
      <c r="G22" s="19"/>
      <c r="H22" s="12"/>
      <c r="I22" s="3">
        <f>SUM(I4:I8)</f>
        <v>0</v>
      </c>
      <c r="J22" s="3">
        <f>SUM(J4:J8)</f>
        <v>0</v>
      </c>
      <c r="K22" s="3">
        <f>SUM(K4:K8)</f>
        <v>0</v>
      </c>
      <c r="L22" s="3">
        <f>SUM(L4:L8)</f>
        <v>0</v>
      </c>
      <c r="M22" s="3">
        <f>SUM(M4:M8)</f>
        <v>0</v>
      </c>
      <c r="N22" s="3"/>
      <c r="O22" s="3"/>
      <c r="P22" s="2"/>
      <c r="Q22" s="2"/>
    </row>
    <row r="23" spans="1:17" ht="15.75">
      <c r="A23" s="35"/>
      <c r="B23" s="9" t="s">
        <v>33</v>
      </c>
      <c r="C23" s="17">
        <f>SUM(B15:B16)</f>
        <v>0</v>
      </c>
      <c r="D23" s="18"/>
      <c r="E23" s="18"/>
      <c r="F23" s="18"/>
      <c r="G23" s="19"/>
      <c r="H23" s="11"/>
      <c r="I23" s="26" t="s">
        <v>26</v>
      </c>
      <c r="J23" s="27"/>
      <c r="K23" s="27"/>
      <c r="L23" s="27"/>
      <c r="M23" s="28"/>
      <c r="N23" s="10"/>
      <c r="O23" s="3"/>
      <c r="P23" s="2"/>
      <c r="Q23" s="2"/>
    </row>
    <row r="24" spans="1:17" ht="15.75">
      <c r="A24" s="36"/>
      <c r="B24" s="5" t="s">
        <v>34</v>
      </c>
      <c r="C24" s="17">
        <f>SUM(B17:B17)</f>
        <v>0</v>
      </c>
      <c r="D24" s="18"/>
      <c r="E24" s="18"/>
      <c r="F24" s="18"/>
      <c r="G24" s="19"/>
      <c r="H24" s="12"/>
      <c r="I24" s="3">
        <f>SUM(I9:I17)</f>
        <v>0</v>
      </c>
      <c r="J24" s="3">
        <f>SUM(J9:J17)</f>
        <v>0</v>
      </c>
      <c r="K24" s="3">
        <f>SUM(K9:K17)</f>
        <v>0</v>
      </c>
      <c r="L24" s="3">
        <f>SUM(L9:L17)</f>
        <v>0</v>
      </c>
      <c r="M24" s="3">
        <f>SUM(M9:M17)</f>
        <v>0</v>
      </c>
      <c r="N24" s="3"/>
      <c r="O24" s="3"/>
      <c r="P24" s="2"/>
      <c r="Q24" s="2"/>
    </row>
    <row r="25" spans="1:15" ht="14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4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</sheetData>
  <mergeCells count="18">
    <mergeCell ref="C24:G24"/>
    <mergeCell ref="Q1:Q3"/>
    <mergeCell ref="B1:B3"/>
    <mergeCell ref="A1:A3"/>
    <mergeCell ref="O1:O3"/>
    <mergeCell ref="C21:G21"/>
    <mergeCell ref="A20:A24"/>
    <mergeCell ref="C23:G23"/>
    <mergeCell ref="I21:M21"/>
    <mergeCell ref="I23:M23"/>
    <mergeCell ref="C22:G22"/>
    <mergeCell ref="P1:P3"/>
    <mergeCell ref="C19:G19"/>
    <mergeCell ref="C20:G20"/>
    <mergeCell ref="C1:H1"/>
    <mergeCell ref="C2:H2"/>
    <mergeCell ref="I1:N1"/>
    <mergeCell ref="I2:N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xw</cp:lastModifiedBy>
  <dcterms:created xsi:type="dcterms:W3CDTF">2005-01-19T02:47:28Z</dcterms:created>
  <dcterms:modified xsi:type="dcterms:W3CDTF">2011-04-02T07:22:46Z</dcterms:modified>
  <cp:category/>
  <cp:version/>
  <cp:contentType/>
  <cp:contentStatus/>
</cp:coreProperties>
</file>